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C4B93A00-F8B8-42D9-9FBE-586EB1BA0D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P Reference Range Calculato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3" i="1"/>
  <c r="I13" i="1"/>
  <c r="F12" i="1"/>
  <c r="G12" i="1"/>
  <c r="F14" i="1"/>
  <c r="I14" i="1"/>
  <c r="F16" i="1"/>
  <c r="H16" i="1"/>
  <c r="F11" i="1"/>
  <c r="G11" i="1"/>
  <c r="F15" i="1"/>
  <c r="I15" i="1"/>
  <c r="G16" i="1"/>
  <c r="H15" i="1"/>
  <c r="H12" i="1"/>
  <c r="H14" i="1"/>
  <c r="G13" i="1"/>
  <c r="I11" i="1"/>
  <c r="G14" i="1"/>
  <c r="H13" i="1"/>
  <c r="H11" i="1"/>
  <c r="G15" i="1"/>
  <c r="I16" i="1"/>
  <c r="I12" i="1"/>
</calcChain>
</file>

<file path=xl/sharedStrings.xml><?xml version="1.0" encoding="utf-8"?>
<sst xmlns="http://schemas.openxmlformats.org/spreadsheetml/2006/main" count="32" uniqueCount="32">
  <si>
    <t>ID</t>
  </si>
  <si>
    <t>Height (cm)</t>
  </si>
  <si>
    <t>Age (year)</t>
  </si>
  <si>
    <t>Sex (M:F)</t>
  </si>
  <si>
    <t>SLP Parameter</t>
  </si>
  <si>
    <t>RR (brpm)</t>
  </si>
  <si>
    <t>Expected value (predicted)</t>
  </si>
  <si>
    <t>Ti (sec)</t>
  </si>
  <si>
    <t>Te (sec)</t>
  </si>
  <si>
    <t>Ti/Ttot (duty cycle)</t>
  </si>
  <si>
    <t>Subject Info</t>
  </si>
  <si>
    <t>Relative thoracic contribution (%)</t>
  </si>
  <si>
    <t>Enter to see z-scores (optional)</t>
  </si>
  <si>
    <t>IE50</t>
  </si>
  <si>
    <t>Observed (measured)</t>
  </si>
  <si>
    <t>ENTER*</t>
  </si>
  <si>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Valid range for Age is between 2 to 75, for Height is between 82 to 194cm and valid Sex entries are only M and F  </t>
    </r>
  </si>
  <si>
    <t>Breath Phase (degrees)</t>
  </si>
  <si>
    <t>M</t>
  </si>
  <si>
    <r>
      <t>z-score (provided only if there is an observed value manually entered)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</si>
  <si>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Color code for z-scores: </t>
    </r>
  </si>
  <si>
    <t>Green if z-score betewen -1.28 and 1.28</t>
  </si>
  <si>
    <r>
      <t>LLN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(lower 2.5%)</t>
    </r>
  </si>
  <si>
    <r>
      <t>ULN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(upper 2.5%)</t>
    </r>
  </si>
  <si>
    <r>
      <rPr>
        <b/>
        <sz val="11"/>
        <color theme="1"/>
        <rFont val="Calibri"/>
        <family val="2"/>
        <scheme val="minor"/>
      </rPr>
      <t xml:space="preserve">Please Insert Subject Details in the </t>
    </r>
    <r>
      <rPr>
        <b/>
        <sz val="11"/>
        <color rgb="FFFF0000"/>
        <rFont val="Calibri"/>
        <family val="2"/>
        <scheme val="minor"/>
      </rPr>
      <t>ENTER</t>
    </r>
    <r>
      <rPr>
        <b/>
        <sz val="11"/>
        <color theme="1"/>
        <rFont val="Calibri"/>
        <family val="2"/>
        <scheme val="minor"/>
      </rPr>
      <t xml:space="preserve"> Column</t>
    </r>
  </si>
  <si>
    <t>The current reference ranges are based on 198 measurements on seated normal subjects (no history or respiratory disease).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</si>
  <si>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LLN and ULN correspond to </t>
    </r>
    <r>
      <rPr>
        <i/>
        <sz val="11"/>
        <color theme="1"/>
        <rFont val="Calibri"/>
        <family val="2"/>
        <scheme val="minor"/>
      </rPr>
      <t>z=-1.96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z=1.96</t>
    </r>
    <r>
      <rPr>
        <sz val="11"/>
        <color theme="1"/>
        <rFont val="Calibri"/>
        <family val="2"/>
        <scheme val="minor"/>
      </rPr>
      <t xml:space="preserve"> respectivly</t>
    </r>
  </si>
  <si>
    <r>
      <t xml:space="preserve"> Yellow: </t>
    </r>
    <r>
      <rPr>
        <i/>
        <sz val="11"/>
        <color theme="1"/>
        <rFont val="Calibri"/>
        <family val="2"/>
        <scheme val="minor"/>
      </rPr>
      <t>1.28&lt;abs(z)&lt;1.64</t>
    </r>
  </si>
  <si>
    <r>
      <t xml:space="preserve">Orange: </t>
    </r>
    <r>
      <rPr>
        <i/>
        <sz val="11"/>
        <color theme="1"/>
        <rFont val="Calibri"/>
        <family val="2"/>
        <scheme val="minor"/>
      </rPr>
      <t>1.64&lt;abs(z)&lt;1.96</t>
    </r>
  </si>
  <si>
    <r>
      <t xml:space="preserve">Red: </t>
    </r>
    <r>
      <rPr>
        <i/>
        <sz val="11"/>
        <color theme="1"/>
        <rFont val="Calibri"/>
        <family val="2"/>
        <scheme val="minor"/>
      </rPr>
      <t>abs(z)&gt;1.96</t>
    </r>
  </si>
  <si>
    <t>Please ensure entries for Age are in years and entries for Height are in cm.</t>
  </si>
  <si>
    <t>SubjectX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</si>
</sst>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5" xfId="0" applyFill="1" applyBorder="1"/>
    <xf numFmtId="0" fontId="0" fillId="2" borderId="6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4" borderId="2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5" borderId="0" xfId="0" applyFill="1" applyBorder="1"/>
    <xf numFmtId="0" fontId="0" fillId="5" borderId="0" xfId="0" applyFill="1"/>
    <xf numFmtId="0" fontId="1" fillId="5" borderId="0" xfId="0" applyFont="1" applyFill="1"/>
    <xf numFmtId="0" fontId="4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0" borderId="1" xfId="0" applyFill="1" applyBorder="1"/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0" xfId="0" applyFill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3" fillId="4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/>
    <xf numFmtId="0" fontId="0" fillId="5" borderId="0" xfId="0" applyFont="1" applyFill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4" fillId="0" borderId="0" xfId="0" applyFont="1" applyFill="1"/>
    <xf numFmtId="0" fontId="1" fillId="2" borderId="7" xfId="0" applyFont="1" applyFill="1" applyBorder="1" applyAlignment="1">
      <alignment horizontal="center" wrapText="1"/>
    </xf>
    <xf numFmtId="0" fontId="0" fillId="4" borderId="8" xfId="0" applyFill="1" applyBorder="1"/>
    <xf numFmtId="0" fontId="1" fillId="5" borderId="0" xfId="0" applyFont="1" applyFill="1" applyBorder="1"/>
    <xf numFmtId="0" fontId="0" fillId="5" borderId="0" xfId="0" applyFont="1" applyFill="1" applyAlignment="1">
      <alignment vertic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Normal="100" workbookViewId="0">
      <selection activeCell="A7" sqref="A7"/>
    </sheetView>
  </sheetViews>
  <sheetFormatPr defaultRowHeight="15" x14ac:dyDescent="0.25"/>
  <cols>
    <col min="1" max="1" width="11.5703125" bestFit="1" customWidth="1"/>
    <col min="2" max="2" width="8.85546875" bestFit="1" customWidth="1"/>
    <col min="3" max="3" width="3" customWidth="1"/>
    <col min="4" max="4" width="35.5703125" customWidth="1"/>
    <col min="5" max="5" width="22.5703125" customWidth="1"/>
    <col min="6" max="6" width="24.42578125" customWidth="1"/>
    <col min="7" max="7" width="7.5703125" customWidth="1"/>
    <col min="8" max="8" width="7.7109375" customWidth="1"/>
    <col min="9" max="9" width="29.5703125" customWidth="1"/>
  </cols>
  <sheetData>
    <row r="1" spans="1:16" s="31" customForma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s="31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s="31" customForma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6" s="31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6" s="31" customFormat="1" x14ac:dyDescent="0.25">
      <c r="A5" s="19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6" s="31" customFormat="1" x14ac:dyDescent="0.25">
      <c r="A6" s="49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6" s="31" customFormat="1" x14ac:dyDescent="0.25">
      <c r="A7" s="19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6" s="31" customFormat="1" x14ac:dyDescent="0.25">
      <c r="A8" s="50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6" ht="45" x14ac:dyDescent="0.25">
      <c r="A9" s="12" t="s">
        <v>10</v>
      </c>
      <c r="B9" s="14"/>
      <c r="C9" s="14"/>
      <c r="D9" s="12" t="s">
        <v>4</v>
      </c>
      <c r="E9" s="13" t="s">
        <v>14</v>
      </c>
      <c r="F9" s="12" t="s">
        <v>6</v>
      </c>
      <c r="G9" s="47" t="s">
        <v>22</v>
      </c>
      <c r="H9" s="47" t="s">
        <v>23</v>
      </c>
      <c r="I9" s="30" t="s">
        <v>19</v>
      </c>
      <c r="J9" s="16"/>
      <c r="K9" s="16"/>
      <c r="L9" s="25"/>
      <c r="M9" s="25"/>
      <c r="N9" s="25"/>
      <c r="O9" s="25"/>
      <c r="P9" s="25"/>
    </row>
    <row r="10" spans="1:16" ht="30" x14ac:dyDescent="0.25">
      <c r="A10" s="7"/>
      <c r="B10" s="8" t="s">
        <v>15</v>
      </c>
      <c r="C10" s="9"/>
      <c r="D10" s="9"/>
      <c r="E10" s="29" t="s">
        <v>12</v>
      </c>
      <c r="F10" s="9"/>
      <c r="G10" s="9"/>
      <c r="H10" s="9"/>
      <c r="I10" s="10"/>
      <c r="J10" s="16"/>
      <c r="K10" s="16"/>
      <c r="L10" s="25"/>
      <c r="M10" s="25"/>
      <c r="N10" s="25"/>
      <c r="O10" s="25"/>
      <c r="P10" s="25"/>
    </row>
    <row r="11" spans="1:16" x14ac:dyDescent="0.25">
      <c r="A11" s="3" t="s">
        <v>0</v>
      </c>
      <c r="B11" s="5" t="s">
        <v>31</v>
      </c>
      <c r="C11" s="11"/>
      <c r="D11" s="2" t="s">
        <v>5</v>
      </c>
      <c r="E11" s="34">
        <v>11.7</v>
      </c>
      <c r="F11" s="36">
        <f>EXP(-0.1140332 *LN(B12) -0.0000000410514 *B13^3+3.365128)</f>
        <v>14.964296351145098</v>
      </c>
      <c r="G11" s="38">
        <f>EXP(-1.96 * EXP(-1.447292 ) + LN(F11))</f>
        <v>9.4372313183140779</v>
      </c>
      <c r="H11" s="39">
        <f>EXP(1.96 * EXP(-1.447292 ) + LN(F11))</f>
        <v>23.728375169773699</v>
      </c>
      <c r="I11" s="22">
        <f>(LN(E11) - LN(F11))/EXP(-1.447292)</f>
        <v>-1.0462228709329198</v>
      </c>
      <c r="J11" s="16"/>
      <c r="K11" s="16"/>
      <c r="L11" s="25"/>
      <c r="M11" s="25"/>
      <c r="N11" s="25"/>
      <c r="O11" s="25"/>
      <c r="P11" s="25"/>
    </row>
    <row r="12" spans="1:16" x14ac:dyDescent="0.25">
      <c r="A12" s="3" t="s">
        <v>2</v>
      </c>
      <c r="B12" s="6">
        <v>52</v>
      </c>
      <c r="C12" s="11"/>
      <c r="D12" s="2" t="s">
        <v>7</v>
      </c>
      <c r="E12" s="21">
        <v>1.33</v>
      </c>
      <c r="F12" s="22">
        <f>0.00000007762056 *B13^3 + 0.08401659 *LN(B12) + 0.8531448</f>
        <v>1.5800830067850113</v>
      </c>
      <c r="G12" s="27">
        <f>F12*((-0.4835284*0.2254861*(-1.96)+1)^(1/-0.4835284))</f>
        <v>1.0585930935700063</v>
      </c>
      <c r="H12" s="23">
        <f>F12*((-0.4835284*0.2254861*(1.96)+1)^(1/-0.4835284))</f>
        <v>2.5978450942793923</v>
      </c>
      <c r="I12" s="22">
        <f>(((E12/F12)^-0.4835284 )-1)/(0.2254861 * (-0.4835284))</f>
        <v>-0.79685252520864724</v>
      </c>
      <c r="J12" s="16"/>
      <c r="K12" s="16"/>
      <c r="L12" s="25"/>
      <c r="M12" s="25"/>
      <c r="N12" s="25"/>
      <c r="O12" s="25"/>
      <c r="P12" s="25"/>
    </row>
    <row r="13" spans="1:16" x14ac:dyDescent="0.25">
      <c r="A13" s="3" t="s">
        <v>1</v>
      </c>
      <c r="B13" s="6">
        <v>172</v>
      </c>
      <c r="C13" s="11"/>
      <c r="D13" s="2" t="s">
        <v>8</v>
      </c>
      <c r="E13" s="21">
        <v>3.67</v>
      </c>
      <c r="F13" s="22">
        <f xml:space="preserve"> EXP(0.1886492 *LN(B12) + 0.1268366)</f>
        <v>2.3922529205519099</v>
      </c>
      <c r="G13" s="27">
        <f>EXP(LN(F13)-1.96* 0.2560591)</f>
        <v>1.4482555026664741</v>
      </c>
      <c r="H13" s="23">
        <f>EXP(LN(F13)+1.96* 0.2560591)</f>
        <v>3.951563812705976</v>
      </c>
      <c r="I13" s="22">
        <f>(LN(E13)-LN(F13))/EXP( -1.362347 )</f>
        <v>1.6713176559354592</v>
      </c>
      <c r="J13" s="16"/>
      <c r="K13" s="16"/>
      <c r="L13" s="25"/>
      <c r="M13" s="25"/>
      <c r="N13" s="25"/>
      <c r="O13" s="25"/>
      <c r="P13" s="25"/>
    </row>
    <row r="14" spans="1:16" x14ac:dyDescent="0.25">
      <c r="A14" s="4" t="s">
        <v>3</v>
      </c>
      <c r="B14" s="5" t="s">
        <v>18</v>
      </c>
      <c r="C14" s="48"/>
      <c r="D14" s="2" t="s">
        <v>9</v>
      </c>
      <c r="E14" s="21">
        <v>0.27</v>
      </c>
      <c r="F14" s="22">
        <f xml:space="preserve"> -0.008838077  *(B12)^0.5 +(-1.361032 )*B13^(-0.5)+0.5727865</f>
        <v>0.4052765033115393</v>
      </c>
      <c r="G14" s="27">
        <f>F14-1.96*EXP( -3.37702 )</f>
        <v>0.3383443310556421</v>
      </c>
      <c r="H14" s="23">
        <f>F14+1.96*EXP( -3.37702 )</f>
        <v>0.47220867556743651</v>
      </c>
      <c r="I14" s="22">
        <f>(E14-F14)/EXP( -3.37702 )</f>
        <v>-3.9613527778079272</v>
      </c>
      <c r="J14" s="16"/>
      <c r="K14" s="16"/>
      <c r="L14" s="25"/>
      <c r="M14" s="25"/>
      <c r="N14" s="25"/>
      <c r="O14" s="25"/>
      <c r="P14" s="25"/>
    </row>
    <row r="15" spans="1:16" x14ac:dyDescent="0.25">
      <c r="A15" s="16"/>
      <c r="B15" s="16"/>
      <c r="C15" s="16"/>
      <c r="D15" s="20" t="s">
        <v>11</v>
      </c>
      <c r="E15" s="35">
        <v>53</v>
      </c>
      <c r="F15" s="37">
        <f>5.838768 *LN(B12)+(-6.734385 )*IF(B14="M",1,0)+36.05104</f>
        <v>52.387050384254245</v>
      </c>
      <c r="G15" s="40">
        <f>F15-1.96*EXP(2.46082)</f>
        <v>29.426800077767112</v>
      </c>
      <c r="H15" s="41">
        <f>F15+1.96*EXP(2.46082)</f>
        <v>75.347300690741378</v>
      </c>
      <c r="I15" s="22">
        <f>(E15 - F15)/EXP(2.46082)</f>
        <v>5.2324396765058123E-2</v>
      </c>
      <c r="J15" s="16"/>
      <c r="K15" s="16"/>
      <c r="L15" s="25"/>
      <c r="M15" s="25"/>
      <c r="N15" s="25"/>
      <c r="O15" s="25"/>
      <c r="P15" s="25"/>
    </row>
    <row r="16" spans="1:16" x14ac:dyDescent="0.25">
      <c r="A16" s="16"/>
      <c r="B16" s="16"/>
      <c r="C16" s="16"/>
      <c r="D16" s="20" t="s">
        <v>17</v>
      </c>
      <c r="E16" s="35">
        <v>5.8</v>
      </c>
      <c r="F16" s="37">
        <f xml:space="preserve"> EXP(2.562463 - 0.04479103*B12 + 0.0003720176*B12^2)</f>
        <v>3.4530746270152917</v>
      </c>
      <c r="G16" s="40">
        <f>F16*(_xlfn.GAMMA.INV(1-0.025,1/(EXP(-0.3626987 - 0.008668334*B12)^2*(-0.75)^2),EXP(-0.3626987 - 0.008668334*B12)^2*(-0.75)^2))^(1/-0.75)</f>
        <v>1.6382184784436313</v>
      </c>
      <c r="H16" s="41">
        <f>F16*(_xlfn.GAMMA.INV(1-0.975,1/(EXP(-0.3626987 - 0.008668334*B12)^2*(-0.75)^2),EXP(-0.3626987 - 0.008668334*B12)^2*(-0.75)^2))^(1/-0.75)</f>
        <v>9.7713007203373117</v>
      </c>
      <c r="I16" s="22">
        <f>_xlfn.NORM.INV((1-_xlfn.GAMMA.DIST((E16/F16)^(-0.75),1/(EXP(-0.3626987 - 0.008668334*B12)^2*(-0.75)^2),EXP(-0.3626987 - 0.008668334*B12)^2*(-0.75)^2,TRUE)),0,1)</f>
        <v>0.9842342841543108</v>
      </c>
      <c r="J16" s="16"/>
      <c r="K16" s="16"/>
      <c r="L16" s="25"/>
      <c r="M16" s="25"/>
      <c r="N16" s="25"/>
      <c r="O16" s="25"/>
      <c r="P16" s="25"/>
    </row>
    <row r="17" spans="1:16" x14ac:dyDescent="0.25">
      <c r="A17" s="16"/>
      <c r="B17" s="16"/>
      <c r="C17" s="16"/>
      <c r="D17" s="20" t="s">
        <v>13</v>
      </c>
      <c r="E17" s="24">
        <v>2.74</v>
      </c>
      <c r="F17" s="26">
        <v>1.2944709999999999</v>
      </c>
      <c r="G17" s="28">
        <f>F17* ((-0.6 * EXP(-1.773779 ) * (-1.96) + 1)^(1/-0.6))</f>
        <v>0.9558536850415057</v>
      </c>
      <c r="H17" s="24">
        <f>F17* ((-0.6 * EXP(-1.773779 ) * (1.96) + 1)^(1/-0.6))</f>
        <v>1.8758903281588277</v>
      </c>
      <c r="I17" s="22">
        <f>((E17/F17)^(-0.6)-1)/(-0.6*EXP( -1.773779))</f>
        <v>3.5586027415465504</v>
      </c>
      <c r="J17" s="16"/>
      <c r="K17" s="16"/>
      <c r="L17" s="25"/>
      <c r="M17" s="25"/>
      <c r="N17" s="25"/>
      <c r="O17" s="25"/>
      <c r="P17" s="25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5"/>
      <c r="M18" s="25"/>
      <c r="N18" s="25"/>
      <c r="O18" s="25"/>
      <c r="P18" s="25"/>
    </row>
    <row r="19" spans="1:16" x14ac:dyDescent="0.25">
      <c r="A19" s="16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5"/>
      <c r="M19" s="25"/>
      <c r="N19" s="25"/>
      <c r="O19" s="25"/>
      <c r="P19" s="25"/>
    </row>
    <row r="20" spans="1:16" x14ac:dyDescent="0.25">
      <c r="A20" s="16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5"/>
      <c r="M20" s="25"/>
      <c r="N20" s="25"/>
      <c r="O20" s="25"/>
      <c r="P20" s="25"/>
    </row>
    <row r="21" spans="1:16" x14ac:dyDescent="0.25">
      <c r="A21" s="16" t="s">
        <v>20</v>
      </c>
      <c r="B21" s="16"/>
      <c r="C21" s="16"/>
      <c r="D21" s="42" t="s">
        <v>21</v>
      </c>
      <c r="E21" s="45" t="s">
        <v>27</v>
      </c>
      <c r="F21" s="44" t="s">
        <v>28</v>
      </c>
      <c r="G21" s="43" t="s">
        <v>29</v>
      </c>
      <c r="H21" s="43"/>
      <c r="I21" s="16"/>
      <c r="J21" s="16"/>
      <c r="K21" s="16"/>
      <c r="L21" s="25"/>
      <c r="M21" s="25"/>
      <c r="N21" s="25"/>
      <c r="O21" s="25"/>
      <c r="P21" s="25"/>
    </row>
    <row r="22" spans="1:16" s="1" customFormat="1" x14ac:dyDescent="0.25">
      <c r="A22" s="33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2"/>
      <c r="M22" s="32"/>
      <c r="N22" s="32"/>
      <c r="O22" s="32"/>
      <c r="P22" s="32"/>
    </row>
    <row r="23" spans="1:16" x14ac:dyDescent="0.2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5"/>
      <c r="M23" s="25"/>
      <c r="N23" s="25"/>
      <c r="O23" s="25"/>
      <c r="P23" s="25"/>
    </row>
    <row r="24" spans="1:16" x14ac:dyDescent="0.25">
      <c r="A24" s="1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5"/>
      <c r="M24" s="25"/>
      <c r="N24" s="25"/>
      <c r="O24" s="25"/>
      <c r="P24" s="25"/>
    </row>
    <row r="25" spans="1:16" x14ac:dyDescent="0.25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5"/>
      <c r="M25" s="25"/>
      <c r="N25" s="25"/>
      <c r="O25" s="25"/>
      <c r="P25" s="25"/>
    </row>
    <row r="26" spans="1:16" x14ac:dyDescent="0.25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5"/>
      <c r="M26" s="25"/>
      <c r="N26" s="25"/>
      <c r="O26" s="25"/>
      <c r="P26" s="25"/>
    </row>
    <row r="27" spans="1:16" x14ac:dyDescent="0.25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5"/>
      <c r="M27" s="25"/>
      <c r="N27" s="25"/>
      <c r="O27" s="25"/>
      <c r="P27" s="25"/>
    </row>
    <row r="28" spans="1:16" x14ac:dyDescent="0.25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5"/>
      <c r="M28" s="25"/>
      <c r="N28" s="25"/>
      <c r="O28" s="25"/>
      <c r="P28" s="25"/>
    </row>
    <row r="32" spans="1:16" x14ac:dyDescent="0.25">
      <c r="A32" s="46"/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conditionalFormatting sqref="I11">
    <cfRule type="cellIs" dxfId="13" priority="8" operator="between">
      <formula>-1.28</formula>
      <formula>1.28</formula>
    </cfRule>
    <cfRule type="cellIs" dxfId="12" priority="9" operator="between">
      <formula>1.28</formula>
      <formula>1.64</formula>
    </cfRule>
    <cfRule type="cellIs" dxfId="11" priority="10" operator="between">
      <formula>-1.64</formula>
      <formula>-1.28</formula>
    </cfRule>
    <cfRule type="cellIs" dxfId="10" priority="11" operator="between">
      <formula>1.64</formula>
      <formula>1.96</formula>
    </cfRule>
    <cfRule type="cellIs" dxfId="9" priority="12" operator="between">
      <formula>-1.96</formula>
      <formula>-1.64</formula>
    </cfRule>
    <cfRule type="cellIs" dxfId="8" priority="13" operator="between">
      <formula>1.98</formula>
      <formula>1E+99</formula>
    </cfRule>
    <cfRule type="cellIs" dxfId="7" priority="14" operator="between">
      <formula>-1E+99</formula>
      <formula>-1.98</formula>
    </cfRule>
  </conditionalFormatting>
  <conditionalFormatting sqref="I12:I17">
    <cfRule type="cellIs" dxfId="6" priority="1" operator="between">
      <formula>-1.28</formula>
      <formula>1.28</formula>
    </cfRule>
    <cfRule type="cellIs" dxfId="5" priority="2" operator="between">
      <formula>1.28</formula>
      <formula>1.64</formula>
    </cfRule>
    <cfRule type="cellIs" dxfId="4" priority="3" operator="between">
      <formula>-1.64</formula>
      <formula>-1.28</formula>
    </cfRule>
    <cfRule type="cellIs" dxfId="3" priority="4" operator="between">
      <formula>1.64</formula>
      <formula>1.96</formula>
    </cfRule>
    <cfRule type="cellIs" dxfId="2" priority="5" operator="between">
      <formula>-1.96</formula>
      <formula>-1.64</formula>
    </cfRule>
    <cfRule type="cellIs" dxfId="1" priority="6" operator="between">
      <formula>1.98</formula>
      <formula>1E+99</formula>
    </cfRule>
    <cfRule type="cellIs" dxfId="0" priority="7" operator="between">
      <formula>-1E+99</formula>
      <formula>-1.98</formula>
    </cfRule>
  </conditionalFormatting>
  <dataValidations count="3">
    <dataValidation type="decimal" allowBlank="1" showInputMessage="1" showErrorMessage="1" errorTitle="Inappropriate Age entry" error="Age entry must be between 2 to 75 year" sqref="B12" xr:uid="{C4AEF1FD-BD78-4D38-BF18-23B4F2109D28}">
      <formula1>2</formula1>
      <formula2>75</formula2>
    </dataValidation>
    <dataValidation type="decimal" allowBlank="1" showInputMessage="1" showErrorMessage="1" errorTitle="Inappropriate Height entry" error="Height entry must be between 82cm and 194cm" sqref="B13" xr:uid="{814A206F-DF60-4A08-8308-480A59BB72E1}">
      <formula1>82</formula1>
      <formula2>194</formula2>
    </dataValidation>
    <dataValidation type="custom" allowBlank="1" showInputMessage="1" showErrorMessage="1" errorTitle="Inappropriate Sex entry" error="Sex entry must be M for male or F for female only" sqref="B14" xr:uid="{6AC93381-E7DA-422E-8219-3064D1C3633D}">
      <formula1>OR(B14="M",B14="F")</formula1>
    </dataValidation>
  </dataValidation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6F586083283468A77F435ABDAD0D3" ma:contentTypeVersion="12" ma:contentTypeDescription="Create a new document." ma:contentTypeScope="" ma:versionID="ff432442c5ba39d71486b353ab1a4388">
  <xsd:schema xmlns:xsd="http://www.w3.org/2001/XMLSchema" xmlns:xs="http://www.w3.org/2001/XMLSchema" xmlns:p="http://schemas.microsoft.com/office/2006/metadata/properties" xmlns:ns2="f7a10ff1-a7fb-4db9-b334-bf439db0190e" xmlns:ns3="ae7e0eb7-d839-42bc-88d6-e06789320f8e" targetNamespace="http://schemas.microsoft.com/office/2006/metadata/properties" ma:root="true" ma:fieldsID="99b404e233166fe8bcb35a0c5f9526f0" ns2:_="" ns3:_="">
    <xsd:import namespace="f7a10ff1-a7fb-4db9-b334-bf439db0190e"/>
    <xsd:import namespace="ae7e0eb7-d839-42bc-88d6-e06789320f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10ff1-a7fb-4db9-b334-bf439db01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e0eb7-d839-42bc-88d6-e06789320f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9E55BF-112A-47DA-85ED-29E67AB26668}"/>
</file>

<file path=customXml/itemProps2.xml><?xml version="1.0" encoding="utf-8"?>
<ds:datastoreItem xmlns:ds="http://schemas.openxmlformats.org/officeDocument/2006/customXml" ds:itemID="{D0035D68-2B17-4E90-8B74-32A1EC802355}"/>
</file>

<file path=customXml/itemProps3.xml><?xml version="1.0" encoding="utf-8"?>
<ds:datastoreItem xmlns:ds="http://schemas.openxmlformats.org/officeDocument/2006/customXml" ds:itemID="{103C55D4-E2BD-4815-B021-366E826F6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Reference Range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2020-09-16T13:41:02Z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0x0101000D16F586083283468A77F435ABDAD0D3</vt:lpwstr>
  </property>
</Properties>
</file>